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<sst xmlns="http://schemas.openxmlformats.org/spreadsheetml/2006/main" count="50" uniqueCount="24">
  <si>
    <t>O</t>
  </si>
  <si>
    <t>Mg</t>
  </si>
  <si>
    <t>Al</t>
  </si>
  <si>
    <t>Si</t>
  </si>
  <si>
    <t>Ca</t>
  </si>
  <si>
    <t>Fe</t>
  </si>
  <si>
    <t>S</t>
  </si>
  <si>
    <t>K</t>
  </si>
  <si>
    <t>C</t>
  </si>
  <si>
    <t>Zn</t>
  </si>
  <si>
    <t>x</t>
  </si>
  <si>
    <t>Average</t>
  </si>
  <si>
    <t>standard deviation</t>
  </si>
  <si>
    <t>Min</t>
  </si>
  <si>
    <t>Max</t>
  </si>
  <si>
    <t>confidence interval (normal), 95%</t>
  </si>
  <si>
    <t xml:space="preserve">wt% Percent Fe </t>
  </si>
  <si>
    <t>total wt</t>
  </si>
  <si>
    <r>
      <t>wt% Percent Fe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</t>
    </r>
    <r>
      <rPr>
        <b/>
        <vertAlign val="sub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 equivalent</t>
    </r>
  </si>
  <si>
    <t>Red Mud from Homestake Analysis Results by XDS Method performed at SDSM&amp;T</t>
  </si>
  <si>
    <t>Weight percent</t>
  </si>
  <si>
    <r>
      <t>wt% Percent Al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</t>
    </r>
    <r>
      <rPr>
        <b/>
        <vertAlign val="sub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 equivalent</t>
    </r>
  </si>
  <si>
    <t>Data from Ashley Beattie 2010_02_02</t>
  </si>
  <si>
    <t>Done by Nathan Sanders and Nathan Huft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</si>
</sst>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trike/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7" fillId="0" borderId="10" xfId="0" applyFont="1" applyBorder="1" applyAlignment="1">
      <alignment/>
    </xf>
    <xf numFmtId="0" fontId="0" fillId="24" borderId="10" xfId="0" applyFill="1" applyBorder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7" fillId="0" borderId="21" xfId="0" applyFont="1" applyBorder="1" applyAlignment="1">
      <alignment/>
    </xf>
    <xf numFmtId="0" fontId="0" fillId="24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17" xfId="0" applyFill="1" applyBorder="1" applyAlignment="1">
      <alignment/>
    </xf>
    <xf numFmtId="0" fontId="0" fillId="0" borderId="23" xfId="0" applyBorder="1" applyAlignment="1">
      <alignment/>
    </xf>
    <xf numFmtId="0" fontId="17" fillId="0" borderId="23" xfId="0" applyFont="1" applyBorder="1" applyAlignment="1">
      <alignment/>
    </xf>
    <xf numFmtId="0" fontId="0" fillId="24" borderId="23" xfId="0" applyFill="1" applyBorder="1" applyAlignment="1">
      <alignment/>
    </xf>
    <xf numFmtId="0" fontId="0" fillId="25" borderId="19" xfId="0" applyFill="1" applyBorder="1" applyAlignment="1">
      <alignment/>
    </xf>
    <xf numFmtId="9" fontId="0" fillId="0" borderId="24" xfId="59" applyBorder="1" applyAlignment="1">
      <alignment/>
    </xf>
    <xf numFmtId="9" fontId="0" fillId="0" borderId="25" xfId="59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166" fontId="0" fillId="0" borderId="24" xfId="59" applyNumberFormat="1" applyBorder="1" applyAlignment="1">
      <alignment/>
    </xf>
    <xf numFmtId="166" fontId="13" fillId="0" borderId="24" xfId="59" applyNumberFormat="1" applyFont="1" applyBorder="1" applyAlignment="1">
      <alignment/>
    </xf>
    <xf numFmtId="166" fontId="0" fillId="0" borderId="25" xfId="59" applyNumberFormat="1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26" xfId="0" applyBorder="1" applyAlignment="1">
      <alignment textRotation="90" wrapText="1"/>
    </xf>
    <xf numFmtId="0" fontId="0" fillId="0" borderId="24" xfId="0" applyBorder="1" applyAlignment="1">
      <alignment textRotation="90" wrapText="1"/>
    </xf>
    <xf numFmtId="0" fontId="15" fillId="0" borderId="26" xfId="0" applyFont="1" applyBorder="1" applyAlignment="1">
      <alignment textRotation="90" wrapText="1"/>
    </xf>
    <xf numFmtId="0" fontId="15" fillId="0" borderId="27" xfId="0" applyFont="1" applyBorder="1" applyAlignment="1">
      <alignment textRotation="90" wrapText="1"/>
    </xf>
    <xf numFmtId="0" fontId="0" fillId="0" borderId="0" xfId="0" applyAlignment="1">
      <alignment textRotation="90"/>
    </xf>
    <xf numFmtId="0" fontId="15" fillId="0" borderId="24" xfId="0" applyFont="1" applyBorder="1" applyAlignment="1">
      <alignment horizontal="center" vertical="center" textRotation="90" wrapText="1"/>
    </xf>
    <xf numFmtId="9" fontId="0" fillId="0" borderId="26" xfId="59" applyBorder="1" applyAlignment="1">
      <alignment/>
    </xf>
    <xf numFmtId="0" fontId="15" fillId="0" borderId="0" xfId="0" applyFont="1" applyBorder="1" applyAlignment="1">
      <alignment/>
    </xf>
    <xf numFmtId="0" fontId="15" fillId="0" borderId="28" xfId="0" applyFont="1" applyBorder="1" applyAlignment="1">
      <alignment/>
    </xf>
    <xf numFmtId="166" fontId="0" fillId="0" borderId="26" xfId="59" applyNumberForma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5.8515625" style="0" customWidth="1"/>
    <col min="2" max="13" width="7.421875" style="0" customWidth="1"/>
    <col min="14" max="16384" width="5.8515625" style="0" customWidth="1"/>
  </cols>
  <sheetData>
    <row r="1" ht="21">
      <c r="A1" s="31" t="s">
        <v>19</v>
      </c>
    </row>
    <row r="2" spans="1:8" ht="21.75" thickBot="1">
      <c r="A2" s="31"/>
      <c r="B2" t="s">
        <v>22</v>
      </c>
      <c r="H2" s="42" t="s">
        <v>23</v>
      </c>
    </row>
    <row r="3" spans="1:17" s="36" customFormat="1" ht="60" customHeight="1" thickBo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7" t="s">
        <v>11</v>
      </c>
      <c r="N3" s="37" t="s">
        <v>12</v>
      </c>
      <c r="O3" s="37" t="s">
        <v>15</v>
      </c>
      <c r="P3" s="34" t="s">
        <v>13</v>
      </c>
      <c r="Q3" s="35" t="s">
        <v>14</v>
      </c>
    </row>
    <row r="4" spans="1:17" ht="15">
      <c r="A4" s="6" t="s">
        <v>0</v>
      </c>
      <c r="B4" s="13">
        <v>44.22</v>
      </c>
      <c r="C4" s="14">
        <v>37.53</v>
      </c>
      <c r="D4" s="14">
        <v>38.47</v>
      </c>
      <c r="E4" s="14">
        <v>47.08</v>
      </c>
      <c r="F4" s="14">
        <v>31.76</v>
      </c>
      <c r="G4" s="14">
        <v>37.87</v>
      </c>
      <c r="H4" s="14">
        <v>38.78</v>
      </c>
      <c r="I4" s="14">
        <v>43.26</v>
      </c>
      <c r="J4" s="14">
        <v>41.88</v>
      </c>
      <c r="K4" s="15">
        <v>7.61</v>
      </c>
      <c r="L4" s="14">
        <v>40.1</v>
      </c>
      <c r="M4" s="16">
        <f>AVERAGE(B4:J4,L4)</f>
        <v>40.095000000000006</v>
      </c>
      <c r="N4" s="14">
        <f>STDEV(B4:J4,L4)</f>
        <v>4.273708381877848</v>
      </c>
      <c r="O4" s="17">
        <f>CONFIDENCE(0.05,N4,10)</f>
        <v>2.648823224606256</v>
      </c>
      <c r="P4" s="7">
        <f>M4-O4</f>
        <v>37.44617677539375</v>
      </c>
      <c r="Q4" s="8">
        <f>M4+O4</f>
        <v>42.74382322460626</v>
      </c>
    </row>
    <row r="5" spans="1:17" ht="15">
      <c r="A5" s="4" t="s">
        <v>1</v>
      </c>
      <c r="B5" s="9" t="s">
        <v>10</v>
      </c>
      <c r="C5" s="1">
        <v>0.73</v>
      </c>
      <c r="D5" s="1">
        <v>0.58</v>
      </c>
      <c r="E5" s="1">
        <v>0.36</v>
      </c>
      <c r="F5" s="1">
        <v>0.37</v>
      </c>
      <c r="G5" s="1">
        <v>0.69</v>
      </c>
      <c r="H5" s="1">
        <v>0.86</v>
      </c>
      <c r="I5" s="1">
        <v>0.92</v>
      </c>
      <c r="J5" s="1" t="s">
        <v>10</v>
      </c>
      <c r="K5" s="2">
        <v>1.56</v>
      </c>
      <c r="L5" s="1" t="s">
        <v>10</v>
      </c>
      <c r="M5" s="3">
        <f>AVERAGE(C5:I5)</f>
        <v>0.6442857142857142</v>
      </c>
      <c r="N5" s="1">
        <f>STDEV(C5:I5)</f>
        <v>0.22066997551827944</v>
      </c>
      <c r="O5" s="18">
        <f>CONFIDENCE(0.05,N5,7)</f>
        <v>0.16347160168698274</v>
      </c>
      <c r="P5" s="9">
        <f aca="true" t="shared" si="0" ref="P5:P13">M5-O5</f>
        <v>0.4808141125987315</v>
      </c>
      <c r="Q5" s="10">
        <f aca="true" t="shared" si="1" ref="Q5:Q13">M5+O5</f>
        <v>0.807757315972697</v>
      </c>
    </row>
    <row r="6" spans="1:17" ht="15">
      <c r="A6" s="4" t="s">
        <v>2</v>
      </c>
      <c r="B6" s="9">
        <v>9.1</v>
      </c>
      <c r="C6" s="1">
        <v>9.46</v>
      </c>
      <c r="D6" s="1">
        <v>12.68</v>
      </c>
      <c r="E6" s="1">
        <v>14.42</v>
      </c>
      <c r="F6" s="1">
        <v>11.85</v>
      </c>
      <c r="G6" s="1">
        <v>9.44</v>
      </c>
      <c r="H6" s="1">
        <v>11.22</v>
      </c>
      <c r="I6" s="1">
        <v>12.7</v>
      </c>
      <c r="J6" s="1">
        <v>12.48</v>
      </c>
      <c r="K6" s="2">
        <v>23.05</v>
      </c>
      <c r="L6" s="1">
        <v>9.54</v>
      </c>
      <c r="M6" s="3">
        <f>AVERAGE(B6:J6,L6)</f>
        <v>11.289000000000001</v>
      </c>
      <c r="N6" s="1">
        <f>STDEV(B6:J6,L6)</f>
        <v>1.828225916018039</v>
      </c>
      <c r="O6" s="18">
        <f>CONFIDENCE(0.05,N6,10)</f>
        <v>1.133125340678437</v>
      </c>
      <c r="P6" s="9">
        <f t="shared" si="0"/>
        <v>10.155874659321565</v>
      </c>
      <c r="Q6" s="10">
        <f t="shared" si="1"/>
        <v>12.422125340678438</v>
      </c>
    </row>
    <row r="7" spans="1:17" ht="15">
      <c r="A7" s="4" t="s">
        <v>3</v>
      </c>
      <c r="B7" s="9">
        <v>1.4</v>
      </c>
      <c r="C7" s="1">
        <v>1.07</v>
      </c>
      <c r="D7" s="1">
        <v>1.1</v>
      </c>
      <c r="E7" s="1">
        <v>0.97</v>
      </c>
      <c r="F7" s="1">
        <v>1.06</v>
      </c>
      <c r="G7" s="1">
        <v>1.13</v>
      </c>
      <c r="H7" s="1">
        <v>2.89</v>
      </c>
      <c r="I7" s="1">
        <v>1.74</v>
      </c>
      <c r="J7" s="1">
        <v>1.45</v>
      </c>
      <c r="K7" s="2">
        <v>1.98</v>
      </c>
      <c r="L7" s="1">
        <v>0.92</v>
      </c>
      <c r="M7" s="3">
        <f>AVERAGE(B7:J7,L7)</f>
        <v>1.3729999999999998</v>
      </c>
      <c r="N7" s="1">
        <f>STDEV(B7:J7,L7)</f>
        <v>0.5900668512032251</v>
      </c>
      <c r="O7" s="18">
        <f>CONFIDENCE(0.05,N7,10)</f>
        <v>0.3657205031033538</v>
      </c>
      <c r="P7" s="9">
        <f t="shared" si="0"/>
        <v>1.007279496896646</v>
      </c>
      <c r="Q7" s="10">
        <f t="shared" si="1"/>
        <v>1.7387205031033535</v>
      </c>
    </row>
    <row r="8" spans="1:17" ht="15">
      <c r="A8" s="4" t="s">
        <v>6</v>
      </c>
      <c r="B8" s="9">
        <v>2.44</v>
      </c>
      <c r="C8" s="1">
        <v>3.05</v>
      </c>
      <c r="D8" s="1">
        <v>3.69</v>
      </c>
      <c r="E8" s="1">
        <v>3.69</v>
      </c>
      <c r="F8" s="1">
        <v>3.38</v>
      </c>
      <c r="G8" s="1">
        <v>3.07</v>
      </c>
      <c r="H8" s="1">
        <v>2.81</v>
      </c>
      <c r="I8" s="1">
        <v>3.37</v>
      </c>
      <c r="J8" s="1">
        <v>3.08</v>
      </c>
      <c r="K8" s="2">
        <v>3.14</v>
      </c>
      <c r="L8" s="1">
        <v>2.56</v>
      </c>
      <c r="M8" s="3">
        <f>AVERAGE(B8:J8,L8)</f>
        <v>3.114</v>
      </c>
      <c r="N8" s="1">
        <f>STDEV(B8:J8,L8)</f>
        <v>0.42955273896875246</v>
      </c>
      <c r="O8" s="18">
        <f>CONFIDENCE(0.05,N8,10)</f>
        <v>0.26623465372565086</v>
      </c>
      <c r="P8" s="9">
        <f t="shared" si="0"/>
        <v>2.847765346274349</v>
      </c>
      <c r="Q8" s="10">
        <f t="shared" si="1"/>
        <v>3.3802346537256507</v>
      </c>
    </row>
    <row r="9" spans="1:17" ht="15">
      <c r="A9" s="4" t="s">
        <v>4</v>
      </c>
      <c r="B9" s="9">
        <v>1.4</v>
      </c>
      <c r="C9" s="1">
        <v>2.42</v>
      </c>
      <c r="D9" s="1">
        <v>2.22</v>
      </c>
      <c r="E9" s="1">
        <v>1.48</v>
      </c>
      <c r="F9" s="1">
        <v>2.58</v>
      </c>
      <c r="G9" s="1">
        <v>3.07</v>
      </c>
      <c r="H9" s="1">
        <v>2.81</v>
      </c>
      <c r="I9" s="1">
        <v>3.37</v>
      </c>
      <c r="J9" s="1">
        <v>3.08</v>
      </c>
      <c r="K9" s="2">
        <v>3.14</v>
      </c>
      <c r="L9" s="1">
        <v>2.56</v>
      </c>
      <c r="M9" s="3">
        <f>AVERAGE(B9:J9,L9)</f>
        <v>2.4989999999999997</v>
      </c>
      <c r="N9" s="1">
        <f>STDEV(B9:J9,L9)</f>
        <v>0.6548528248562591</v>
      </c>
      <c r="O9" s="18">
        <f>CONFIDENCE(0.05,N9,10)</f>
        <v>0.40587452773651844</v>
      </c>
      <c r="P9" s="9">
        <f t="shared" si="0"/>
        <v>2.0931254722634813</v>
      </c>
      <c r="Q9" s="10">
        <f t="shared" si="1"/>
        <v>2.904874527736518</v>
      </c>
    </row>
    <row r="10" spans="1:17" ht="15">
      <c r="A10" s="4" t="s">
        <v>5</v>
      </c>
      <c r="B10" s="9">
        <v>22.63</v>
      </c>
      <c r="C10" s="1">
        <v>45.74</v>
      </c>
      <c r="D10" s="1">
        <v>41.26</v>
      </c>
      <c r="E10" s="1">
        <v>32</v>
      </c>
      <c r="F10" s="1">
        <v>49</v>
      </c>
      <c r="G10" s="1">
        <v>37.87</v>
      </c>
      <c r="H10" s="1">
        <v>41.13</v>
      </c>
      <c r="I10" s="1">
        <v>35.55</v>
      </c>
      <c r="J10" s="1">
        <v>33.43</v>
      </c>
      <c r="K10" s="2">
        <v>59.03</v>
      </c>
      <c r="L10" s="1">
        <v>28.84</v>
      </c>
      <c r="M10" s="3">
        <f>AVERAGE(B10:J10,L10)</f>
        <v>36.745</v>
      </c>
      <c r="N10" s="1">
        <f>STDEV(B10:J10,L10)</f>
        <v>7.948645237467273</v>
      </c>
      <c r="O10" s="18">
        <f>CONFIDENCE(0.05,N10,10)</f>
        <v>4.926530831733528</v>
      </c>
      <c r="P10" s="9">
        <f t="shared" si="0"/>
        <v>31.818469168266468</v>
      </c>
      <c r="Q10" s="10">
        <f t="shared" si="1"/>
        <v>41.67153083173353</v>
      </c>
    </row>
    <row r="11" spans="1:17" ht="15">
      <c r="A11" s="4" t="s">
        <v>7</v>
      </c>
      <c r="B11" s="9">
        <v>0.03</v>
      </c>
      <c r="C11" s="1" t="s">
        <v>10</v>
      </c>
      <c r="D11" s="1" t="s">
        <v>10</v>
      </c>
      <c r="E11" s="1" t="s">
        <v>10</v>
      </c>
      <c r="F11" s="1" t="s">
        <v>10</v>
      </c>
      <c r="G11" s="1" t="s">
        <v>10</v>
      </c>
      <c r="H11" s="1" t="s">
        <v>10</v>
      </c>
      <c r="I11" s="1" t="s">
        <v>10</v>
      </c>
      <c r="J11" s="1">
        <v>0.03</v>
      </c>
      <c r="K11" s="2" t="s">
        <v>10</v>
      </c>
      <c r="L11" s="1">
        <v>0</v>
      </c>
      <c r="M11" s="3">
        <f>AVERAGE(B11,J11,L11)</f>
        <v>0.02</v>
      </c>
      <c r="N11" s="1">
        <f>STDEV(B11,J11,L11)</f>
        <v>0.017320508075688773</v>
      </c>
      <c r="O11" s="18">
        <f>CONFIDENCE(0.05,N11,3)</f>
        <v>0.01959963984540054</v>
      </c>
      <c r="P11" s="9">
        <f t="shared" si="0"/>
        <v>0.0004003601545994606</v>
      </c>
      <c r="Q11" s="10">
        <f t="shared" si="1"/>
        <v>0.03959963984540054</v>
      </c>
    </row>
    <row r="12" spans="1:17" ht="15">
      <c r="A12" s="4" t="s">
        <v>8</v>
      </c>
      <c r="B12" s="9">
        <v>18.36</v>
      </c>
      <c r="C12" s="1" t="s">
        <v>10</v>
      </c>
      <c r="D12" s="1" t="s">
        <v>10</v>
      </c>
      <c r="E12" s="1" t="s">
        <v>10</v>
      </c>
      <c r="F12" s="1" t="s">
        <v>10</v>
      </c>
      <c r="G12" s="1" t="s">
        <v>10</v>
      </c>
      <c r="H12" s="1" t="s">
        <v>10</v>
      </c>
      <c r="I12" s="1" t="s">
        <v>10</v>
      </c>
      <c r="J12" s="1">
        <v>4.62</v>
      </c>
      <c r="K12" s="2" t="s">
        <v>10</v>
      </c>
      <c r="L12" s="1">
        <v>15.7</v>
      </c>
      <c r="M12" s="3">
        <f>AVERAGE(B12,J12,L12)</f>
        <v>12.893333333333333</v>
      </c>
      <c r="N12" s="1">
        <f>STDEV(B12,J12,L12)</f>
        <v>7.2873131765646875</v>
      </c>
      <c r="O12" s="18">
        <f>CONFIDENCE(0.05,N12,3)</f>
        <v>8.24621963034591</v>
      </c>
      <c r="P12" s="9">
        <f t="shared" si="0"/>
        <v>4.647113702987422</v>
      </c>
      <c r="Q12" s="10">
        <f t="shared" si="1"/>
        <v>21.139552963679243</v>
      </c>
    </row>
    <row r="13" spans="1:17" ht="15.75" thickBot="1">
      <c r="A13" s="5" t="s">
        <v>9</v>
      </c>
      <c r="B13" s="11">
        <v>0.41</v>
      </c>
      <c r="C13" s="19" t="s">
        <v>10</v>
      </c>
      <c r="D13" s="19" t="s">
        <v>10</v>
      </c>
      <c r="E13" s="19" t="s">
        <v>10</v>
      </c>
      <c r="F13" s="19" t="s">
        <v>10</v>
      </c>
      <c r="G13" s="19" t="s">
        <v>10</v>
      </c>
      <c r="H13" s="19" t="s">
        <v>10</v>
      </c>
      <c r="I13" s="19" t="s">
        <v>10</v>
      </c>
      <c r="J13" s="19">
        <v>0</v>
      </c>
      <c r="K13" s="20" t="s">
        <v>10</v>
      </c>
      <c r="L13" s="19">
        <v>0.57</v>
      </c>
      <c r="M13" s="21">
        <f>AVERAGE(B13,J13,L13,)</f>
        <v>0.245</v>
      </c>
      <c r="N13" s="19">
        <f>STDEV(B13,J13,L13)</f>
        <v>0.2939954648176283</v>
      </c>
      <c r="O13" s="22">
        <f>CONFIDENCE(0.05,N13,3)</f>
        <v>0.3326810738707212</v>
      </c>
      <c r="P13" s="11">
        <f t="shared" si="0"/>
        <v>-0.08768107387072122</v>
      </c>
      <c r="Q13" s="12">
        <f t="shared" si="1"/>
        <v>0.5776810738707212</v>
      </c>
    </row>
    <row r="14" ht="15">
      <c r="A14" t="s">
        <v>20</v>
      </c>
    </row>
    <row r="15" ht="15">
      <c r="A15" s="30" t="s">
        <v>17</v>
      </c>
    </row>
    <row r="16" spans="1:13" ht="15">
      <c r="A16" s="30"/>
      <c r="B16" s="26">
        <f>SUM(B4:B13)</f>
        <v>99.99</v>
      </c>
      <c r="C16" s="26">
        <f aca="true" t="shared" si="2" ref="C16:M16">SUM(C4:C13)</f>
        <v>100</v>
      </c>
      <c r="D16" s="26">
        <f t="shared" si="2"/>
        <v>100</v>
      </c>
      <c r="E16" s="26">
        <f t="shared" si="2"/>
        <v>100</v>
      </c>
      <c r="F16" s="26">
        <f t="shared" si="2"/>
        <v>100</v>
      </c>
      <c r="G16" s="26">
        <f t="shared" si="2"/>
        <v>93.13999999999999</v>
      </c>
      <c r="H16" s="26">
        <f t="shared" si="2"/>
        <v>100.5</v>
      </c>
      <c r="I16" s="26">
        <f t="shared" si="2"/>
        <v>100.91</v>
      </c>
      <c r="J16" s="26">
        <f t="shared" si="2"/>
        <v>100.05000000000001</v>
      </c>
      <c r="K16" s="26">
        <f t="shared" si="2"/>
        <v>99.50999999999999</v>
      </c>
      <c r="L16" s="26">
        <f t="shared" si="2"/>
        <v>100.79</v>
      </c>
      <c r="M16" s="26">
        <f t="shared" si="2"/>
        <v>108.91761904761904</v>
      </c>
    </row>
    <row r="17" ht="15.75" thickBot="1">
      <c r="A17" s="30" t="s">
        <v>16</v>
      </c>
    </row>
    <row r="18" spans="1:13" ht="15.75" thickBot="1">
      <c r="A18" s="30"/>
      <c r="B18" s="38">
        <f>B10/B16</f>
        <v>0.22632263226322633</v>
      </c>
      <c r="C18" s="23">
        <f>C10/C16</f>
        <v>0.45740000000000003</v>
      </c>
      <c r="D18" s="23">
        <f>D10/D16</f>
        <v>0.41259999999999997</v>
      </c>
      <c r="E18" s="23">
        <f>E10/E16</f>
        <v>0.32</v>
      </c>
      <c r="F18" s="23">
        <f>F10/F16</f>
        <v>0.49</v>
      </c>
      <c r="G18" s="23">
        <f>G10/G16</f>
        <v>0.406592226755422</v>
      </c>
      <c r="H18" s="23">
        <f>H10/H16</f>
        <v>0.40925373134328363</v>
      </c>
      <c r="I18" s="23">
        <f>I10/I16</f>
        <v>0.3522941234763651</v>
      </c>
      <c r="J18" s="23">
        <f>J10/J16</f>
        <v>0.33413293353323337</v>
      </c>
      <c r="K18" s="23">
        <f>K10/K16</f>
        <v>0.5932067128931766</v>
      </c>
      <c r="L18" s="23">
        <f>L10/L16</f>
        <v>0.286139497966068</v>
      </c>
      <c r="M18" s="24">
        <f>M10/M16</f>
        <v>0.33736506840032005</v>
      </c>
    </row>
    <row r="19" spans="1:13" ht="18.75" thickBot="1">
      <c r="A19" s="39" t="s">
        <v>18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5.75" thickBot="1">
      <c r="A20" s="40"/>
      <c r="B20" s="41">
        <f>B18/2/55.85*(2*55.85+3*16)</f>
        <v>0.32357855302092425</v>
      </c>
      <c r="C20" s="27">
        <f aca="true" t="shared" si="3" ref="C20:M20">C18/2/55.85*(2*55.85+3*16)</f>
        <v>0.6539550581915846</v>
      </c>
      <c r="D20" s="27">
        <f t="shared" si="3"/>
        <v>0.589903491495076</v>
      </c>
      <c r="E20" s="27">
        <f t="shared" si="3"/>
        <v>0.4575111906893464</v>
      </c>
      <c r="F20" s="28">
        <f t="shared" si="3"/>
        <v>0.7005640107430617</v>
      </c>
      <c r="G20" s="27">
        <f t="shared" si="3"/>
        <v>0.5813140430872058</v>
      </c>
      <c r="H20" s="27">
        <f t="shared" si="3"/>
        <v>0.5851192560028862</v>
      </c>
      <c r="I20" s="27">
        <f t="shared" si="3"/>
        <v>0.5036828247016607</v>
      </c>
      <c r="J20" s="27">
        <f t="shared" si="3"/>
        <v>0.47771736334160575</v>
      </c>
      <c r="K20" s="28">
        <f t="shared" si="3"/>
        <v>0.8481209673145953</v>
      </c>
      <c r="L20" s="27">
        <f t="shared" si="3"/>
        <v>0.4091000700553363</v>
      </c>
      <c r="M20" s="29">
        <f t="shared" si="3"/>
        <v>0.4823384191900726</v>
      </c>
    </row>
    <row r="21" spans="1:4" ht="18.75" thickBot="1">
      <c r="A21" s="39" t="s">
        <v>21</v>
      </c>
      <c r="B21" s="25"/>
      <c r="C21" s="25"/>
      <c r="D21" s="25"/>
    </row>
    <row r="22" spans="2:13" ht="15.75" thickBot="1">
      <c r="B22" s="38">
        <f>B6/2/27*(2*27+3*16)/B16</f>
        <v>0.1719060794968386</v>
      </c>
      <c r="C22" s="23">
        <f aca="true" t="shared" si="4" ref="C22:M22">C6/2/27*(2*27+3*16)/C16</f>
        <v>0.1786888888888889</v>
      </c>
      <c r="D22" s="23">
        <f t="shared" si="4"/>
        <v>0.23951111111111112</v>
      </c>
      <c r="E22" s="23">
        <f t="shared" si="4"/>
        <v>0.2723777777777778</v>
      </c>
      <c r="F22" s="23">
        <f t="shared" si="4"/>
        <v>0.22383333333333333</v>
      </c>
      <c r="G22" s="23">
        <f t="shared" si="4"/>
        <v>0.19144418199603944</v>
      </c>
      <c r="H22" s="23">
        <f t="shared" si="4"/>
        <v>0.21087893864013268</v>
      </c>
      <c r="I22" s="23">
        <f t="shared" si="4"/>
        <v>0.23772558605578126</v>
      </c>
      <c r="J22" s="23">
        <f t="shared" si="4"/>
        <v>0.23561552557054805</v>
      </c>
      <c r="K22" s="23">
        <f t="shared" si="4"/>
        <v>0.43753279960696306</v>
      </c>
      <c r="L22" s="23">
        <f t="shared" si="4"/>
        <v>0.1787875781327512</v>
      </c>
      <c r="M22" s="24">
        <f t="shared" si="4"/>
        <v>0.19577793614221323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1652040</dc:creator>
  <cp:keywords/>
  <dc:description/>
  <cp:lastModifiedBy>Stanley M Howard</cp:lastModifiedBy>
  <cp:lastPrinted>2010-02-03T20:55:38Z</cp:lastPrinted>
  <dcterms:created xsi:type="dcterms:W3CDTF">2010-02-01T22:09:16Z</dcterms:created>
  <dcterms:modified xsi:type="dcterms:W3CDTF">2010-02-03T22:22:52Z</dcterms:modified>
  <cp:category/>
  <cp:version/>
  <cp:contentType/>
  <cp:contentStatus/>
</cp:coreProperties>
</file>